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1"/>
  <workbookPr defaultThemeVersion="166925"/>
  <bookViews>
    <workbookView xWindow="780" yWindow="1000" windowWidth="27640" windowHeight="15760" activeTab="0"/>
  </bookViews>
  <sheets>
    <sheet name="Capital Reserve Funding - Level" sheetId="2" r:id="rId1"/>
    <sheet name="Median AV Calculator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<sst xmlns="http://schemas.openxmlformats.org/spreadsheetml/2006/main" count="95" uniqueCount="81">
  <si>
    <t>FY 2025</t>
  </si>
  <si>
    <t>FY 2026</t>
  </si>
  <si>
    <t>FY 2027</t>
  </si>
  <si>
    <t>FY 2028</t>
  </si>
  <si>
    <t>FY 2029</t>
  </si>
  <si>
    <t>FY 2030</t>
  </si>
  <si>
    <t>FY 2031</t>
  </si>
  <si>
    <t>FY 2032</t>
  </si>
  <si>
    <t>FY 2033</t>
  </si>
  <si>
    <t>FY 2034</t>
  </si>
  <si>
    <t>FY 2035</t>
  </si>
  <si>
    <t>FY 2036</t>
  </si>
  <si>
    <t>Bond Year</t>
  </si>
  <si>
    <t>Fiscal Year</t>
  </si>
  <si>
    <t>Current Tax Base</t>
  </si>
  <si>
    <t xml:space="preserve">  Nominal</t>
  </si>
  <si>
    <t xml:space="preserve">  Full Value</t>
  </si>
  <si>
    <t>Taxes to be Raised</t>
  </si>
  <si>
    <t xml:space="preserve">  Inflation Factor</t>
  </si>
  <si>
    <t xml:space="preserve">  Growth Rate</t>
  </si>
  <si>
    <t>Bond Issuance</t>
  </si>
  <si>
    <t xml:space="preserve">  Number of Bonds</t>
  </si>
  <si>
    <t xml:space="preserve">  Total UPB</t>
  </si>
  <si>
    <t>Bond Series 1</t>
  </si>
  <si>
    <t>% of Total</t>
  </si>
  <si>
    <t>Interest Rate</t>
  </si>
  <si>
    <t>Level P&amp;I</t>
  </si>
  <si>
    <t>Issued UPB</t>
  </si>
  <si>
    <t>Interest Paid</t>
  </si>
  <si>
    <t>Repaid Principal</t>
  </si>
  <si>
    <t>Ending UPB</t>
  </si>
  <si>
    <t>(issued mid-FY)</t>
  </si>
  <si>
    <t>% of Bond Outstanding</t>
  </si>
  <si>
    <t>Total Debt Service</t>
  </si>
  <si>
    <t>Total Interest</t>
  </si>
  <si>
    <t>Total Principal</t>
  </si>
  <si>
    <t>Savings %</t>
  </si>
  <si>
    <t>Tax Reserve Analysis</t>
  </si>
  <si>
    <t>Reserve Funded</t>
  </si>
  <si>
    <t>Reserve Used</t>
  </si>
  <si>
    <t>Reserve Balance</t>
  </si>
  <si>
    <t>Amount over First Year Increase</t>
  </si>
  <si>
    <t>Existing Town Debt Service Retired</t>
  </si>
  <si>
    <t>Tax increase on Current FY Taxes</t>
  </si>
  <si>
    <t>Total Indebetness as % of Value</t>
  </si>
  <si>
    <t>Assumptions:</t>
  </si>
  <si>
    <t xml:space="preserve"> - 2 Bond issuances beginning 36 months after FY 2025 Begins</t>
  </si>
  <si>
    <t xml:space="preserve"> - Town establishes capital reserve funding</t>
  </si>
  <si>
    <t xml:space="preserve"> - Level principal and interest payments</t>
  </si>
  <si>
    <t>Total Reserve Available</t>
  </si>
  <si>
    <t xml:space="preserve"> - Expiring Town Debt Service retained for future debt issuance</t>
  </si>
  <si>
    <t xml:space="preserve"> - Expiring town debt taken from 4-23-2024 SBAC Finance Meeting pdf of chart</t>
  </si>
  <si>
    <t>Assessed Home Value</t>
  </si>
  <si>
    <t>Market value</t>
  </si>
  <si>
    <t>to</t>
  </si>
  <si>
    <t>Tax Impact</t>
  </si>
  <si>
    <t>FY</t>
  </si>
  <si>
    <t xml:space="preserve">  Mill Rate</t>
  </si>
  <si>
    <t>Inflation</t>
  </si>
  <si>
    <t>Actual Taxes</t>
  </si>
  <si>
    <t>Difference</t>
  </si>
  <si>
    <t>Diff %</t>
  </si>
  <si>
    <t>Addtl Taxes to be Raised</t>
  </si>
  <si>
    <t>Additional Mill</t>
  </si>
  <si>
    <t>Mill Base</t>
  </si>
  <si>
    <t>Change YoY</t>
  </si>
  <si>
    <t>Mill w/ School</t>
  </si>
  <si>
    <t>w/ School</t>
  </si>
  <si>
    <t>School Project Tax Calculator</t>
  </si>
  <si>
    <t>1. Input AV Home Value ONLY</t>
  </si>
  <si>
    <t>2. Base Mill assumes small increase in town valuation and inflationary budget increases</t>
  </si>
  <si>
    <t>3. Mill w/ School assumes capital reserve funding up front and NO future tax increases for school project</t>
  </si>
  <si>
    <t>School Bond</t>
  </si>
  <si>
    <t>4. Consistent with revised town calculator assumes 2 bonds in sequential years</t>
  </si>
  <si>
    <t>5. Reserve utilized over 10 year period after which assumed refunding</t>
  </si>
  <si>
    <t>6. Assumes debt service rolloff utilized for municipal reserve funding</t>
  </si>
  <si>
    <t>E</t>
  </si>
  <si>
    <t>B</t>
  </si>
  <si>
    <t>Nothing</t>
  </si>
  <si>
    <t>New MS</t>
  </si>
  <si>
    <t>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</si>
</sst>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_);_(&quot;$&quot;* \(#,##0\);_(&quot;$&quot;* &quot;-&quot;?_);_(@_)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6" applyFont="1"/>
    <xf numFmtId="164" fontId="0" fillId="0" borderId="0" xfId="16" applyNumberFormat="1" applyFont="1"/>
    <xf numFmtId="165" fontId="0" fillId="0" borderId="0" xfId="15" applyNumberFormat="1" applyFont="1"/>
    <xf numFmtId="10" fontId="0" fillId="0" borderId="0" xfId="15" applyNumberFormat="1" applyFont="1"/>
    <xf numFmtId="164" fontId="0" fillId="0" borderId="0" xfId="0" applyNumberFormat="1"/>
    <xf numFmtId="44" fontId="0" fillId="0" borderId="0" xfId="0" applyNumberFormat="1"/>
    <xf numFmtId="164" fontId="4" fillId="0" borderId="0" xfId="16" applyNumberFormat="1" applyFont="1"/>
    <xf numFmtId="9" fontId="0" fillId="0" borderId="0" xfId="0" applyNumberFormat="1"/>
    <xf numFmtId="9" fontId="4" fillId="0" borderId="0" xfId="0" applyNumberFormat="1" applyFont="1"/>
    <xf numFmtId="10" fontId="0" fillId="0" borderId="0" xfId="0" applyNumberFormat="1"/>
    <xf numFmtId="10" fontId="4" fillId="0" borderId="0" xfId="15" applyNumberFormat="1" applyFont="1"/>
    <xf numFmtId="166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10" fontId="4" fillId="0" borderId="0" xfId="0" applyNumberFormat="1" applyFont="1"/>
    <xf numFmtId="164" fontId="4" fillId="0" borderId="1" xfId="16" applyNumberFormat="1" applyFont="1" applyBorder="1"/>
    <xf numFmtId="0" fontId="2" fillId="0" borderId="2" xfId="0" applyFont="1" applyBorder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Mill Rate Comparison - 10 Years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'Median AV Calculator'!$O$7</c:f>
              <c:strCache>
                <c:ptCount val="1"/>
                <c:pt idx="0">
                  <c:v>New MS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'Median AV Calculator'!$N$7:$N$18</c:f>
              <c:strCache/>
            </c:strRef>
          </c:cat>
          <c:val>
            <c:numRef>
              <c:f>'Median AV Calculator'!$O$8:$O$18</c:f>
              <c:numCache/>
            </c:numRef>
          </c:val>
          <c:smooth val="0"/>
        </c:ser>
        <c:ser>
          <c:idx val="1"/>
          <c:order val="1"/>
          <c:tx>
            <c:strRef>
              <c:f>'Median AV Calculator'!$P$7</c:f>
              <c:strCache>
                <c:ptCount val="1"/>
                <c:pt idx="0">
                  <c:v>Renovation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'Median AV Calculator'!$N$7:$N$18</c:f>
              <c:strCache/>
            </c:strRef>
          </c:cat>
          <c:val>
            <c:numRef>
              <c:f>'Median AV Calculator'!$P$8:$P$18</c:f>
              <c:numCache/>
            </c:numRef>
          </c:val>
          <c:smooth val="0"/>
        </c:ser>
        <c:ser>
          <c:idx val="2"/>
          <c:order val="2"/>
          <c:tx>
            <c:strRef>
              <c:f>'Median AV Calculator'!$Q$7</c:f>
              <c:strCache>
                <c:ptCount val="1"/>
                <c:pt idx="0">
                  <c:v>Nothing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'Median AV Calculator'!$N$7:$N$18</c:f>
              <c:strCache/>
            </c:strRef>
          </c:cat>
          <c:val>
            <c:numRef>
              <c:f>'Median AV Calculator'!$Q$8:$Q$18</c:f>
              <c:numCache/>
            </c:numRef>
          </c:val>
          <c:smooth val="0"/>
        </c:ser>
        <c:axId val="12665474"/>
        <c:axId val="46880403"/>
      </c:line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  <c:max val="18"/>
          <c:min val="8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665474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5</xdr:col>
      <xdr:colOff>466725</xdr:colOff>
      <xdr:row>45</xdr:row>
      <xdr:rowOff>66675</xdr:rowOff>
    </xdr:to>
    <xdr:graphicFrame macro="">
      <xdr:nvGraphicFramePr>
        <xdr:cNvPr id="4" name="Chart 3"/>
        <xdr:cNvGraphicFramePr/>
      </xdr:nvGraphicFramePr>
      <xdr:xfrm>
        <a:off x="0" y="5353050"/>
        <a:ext cx="57340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8CBE-2497-4349-9500-BD1AEF53DEC5}">
  <dimension ref="A3:M63"/>
  <sheetViews>
    <sheetView tabSelected="1" workbookViewId="0" topLeftCell="A17">
      <selection activeCell="A54" sqref="A54"/>
    </sheetView>
  </sheetViews>
  <sheetFormatPr defaultColWidth="11.00390625" defaultRowHeight="15.75"/>
  <cols>
    <col min="1" max="1" width="32.125" style="0" customWidth="1"/>
    <col min="2" max="13" width="17.50390625" style="0" customWidth="1"/>
  </cols>
  <sheetData>
    <row r="3" spans="1:13" ht="15.75">
      <c r="A3" t="s">
        <v>13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</row>
    <row r="4" spans="1:13" ht="15.75">
      <c r="A4" t="s">
        <v>12</v>
      </c>
      <c r="B4" s="14">
        <v>-1</v>
      </c>
      <c r="C4" s="14">
        <v>0</v>
      </c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</row>
    <row r="6" ht="15.75">
      <c r="A6" t="s">
        <v>14</v>
      </c>
    </row>
    <row r="7" spans="1:13" ht="15.75">
      <c r="A7" t="s">
        <v>15</v>
      </c>
      <c r="B7" s="2">
        <v>3800000000</v>
      </c>
      <c r="C7" s="5">
        <f>B7*(1+C9)</f>
        <v>3818999999.9999995</v>
      </c>
      <c r="D7" s="5">
        <f aca="true" t="shared" si="0" ref="D7:M7">C7*(1+D9)</f>
        <v>3838094999.999999</v>
      </c>
      <c r="E7" s="5">
        <f t="shared" si="0"/>
        <v>3857285474.9999986</v>
      </c>
      <c r="F7" s="5">
        <f t="shared" si="0"/>
        <v>3876571902.374998</v>
      </c>
      <c r="G7" s="5">
        <f t="shared" si="0"/>
        <v>3895954761.886873</v>
      </c>
      <c r="H7" s="5">
        <f t="shared" si="0"/>
        <v>3915434535.6963067</v>
      </c>
      <c r="I7" s="5">
        <f t="shared" si="0"/>
        <v>3935011708.374788</v>
      </c>
      <c r="J7" s="5">
        <f t="shared" si="0"/>
        <v>3954686766.9166613</v>
      </c>
      <c r="K7" s="5">
        <f t="shared" si="0"/>
        <v>3974460200.751244</v>
      </c>
      <c r="L7" s="5">
        <f t="shared" si="0"/>
        <v>3994332501.7549996</v>
      </c>
      <c r="M7" s="5">
        <f t="shared" si="0"/>
        <v>4014304164.2637744</v>
      </c>
    </row>
    <row r="8" spans="1:13" ht="15.75">
      <c r="A8" t="s">
        <v>16</v>
      </c>
      <c r="B8" s="2">
        <v>4150000000</v>
      </c>
      <c r="C8" s="5">
        <f>B8*(1+C9)</f>
        <v>4170749999.9999995</v>
      </c>
      <c r="D8" s="5">
        <f aca="true" t="shared" si="1" ref="D8:M8">C8*(1+D9)</f>
        <v>4191603749.999999</v>
      </c>
      <c r="E8" s="5">
        <f t="shared" si="1"/>
        <v>4212561768.7499986</v>
      </c>
      <c r="F8" s="5">
        <f t="shared" si="1"/>
        <v>4233624577.593748</v>
      </c>
      <c r="G8" s="5">
        <f t="shared" si="1"/>
        <v>4254792700.481716</v>
      </c>
      <c r="H8" s="5">
        <f t="shared" si="1"/>
        <v>4276066663.984124</v>
      </c>
      <c r="I8" s="5">
        <f t="shared" si="1"/>
        <v>4297446997.304045</v>
      </c>
      <c r="J8" s="5">
        <f t="shared" si="1"/>
        <v>4318934232.290565</v>
      </c>
      <c r="K8" s="5">
        <f t="shared" si="1"/>
        <v>4340528903.452017</v>
      </c>
      <c r="L8" s="5">
        <f t="shared" si="1"/>
        <v>4362231547.969276</v>
      </c>
      <c r="M8" s="5">
        <f t="shared" si="1"/>
        <v>4384042705.709123</v>
      </c>
    </row>
    <row r="9" spans="1:13" ht="15.75">
      <c r="A9" t="s">
        <v>19</v>
      </c>
      <c r="B9" s="2"/>
      <c r="C9" s="11">
        <v>0.005</v>
      </c>
      <c r="D9" s="10">
        <f>C9</f>
        <v>0.005</v>
      </c>
      <c r="E9" s="10">
        <f aca="true" t="shared" si="2" ref="E9:M9">D9</f>
        <v>0.005</v>
      </c>
      <c r="F9" s="10">
        <f t="shared" si="2"/>
        <v>0.005</v>
      </c>
      <c r="G9" s="10">
        <f t="shared" si="2"/>
        <v>0.005</v>
      </c>
      <c r="H9" s="10">
        <f t="shared" si="2"/>
        <v>0.005</v>
      </c>
      <c r="I9" s="10">
        <f t="shared" si="2"/>
        <v>0.005</v>
      </c>
      <c r="J9" s="10">
        <f t="shared" si="2"/>
        <v>0.005</v>
      </c>
      <c r="K9" s="10">
        <f t="shared" si="2"/>
        <v>0.005</v>
      </c>
      <c r="L9" s="10">
        <f t="shared" si="2"/>
        <v>0.005</v>
      </c>
      <c r="M9" s="10">
        <f t="shared" si="2"/>
        <v>0.005</v>
      </c>
    </row>
    <row r="11" spans="1:13" ht="15.75">
      <c r="A11" t="s">
        <v>17</v>
      </c>
      <c r="B11" s="7">
        <v>41645922</v>
      </c>
      <c r="C11" s="2">
        <f>B11*(1+C12)</f>
        <v>43311758.88</v>
      </c>
      <c r="D11" s="2">
        <f aca="true" t="shared" si="3" ref="D11:M11">C11*(1+D12)</f>
        <v>45044229.2352</v>
      </c>
      <c r="E11" s="2">
        <f t="shared" si="3"/>
        <v>46845998.404608004</v>
      </c>
      <c r="F11" s="2">
        <f t="shared" si="3"/>
        <v>48719838.34079233</v>
      </c>
      <c r="G11" s="2">
        <f t="shared" si="3"/>
        <v>50668631.874424025</v>
      </c>
      <c r="H11" s="2">
        <f t="shared" si="3"/>
        <v>52695377.14940099</v>
      </c>
      <c r="I11" s="2">
        <f t="shared" si="3"/>
        <v>54803192.23537703</v>
      </c>
      <c r="J11" s="2">
        <f t="shared" si="3"/>
        <v>56995319.92479211</v>
      </c>
      <c r="K11" s="2">
        <f t="shared" si="3"/>
        <v>59275132.721783794</v>
      </c>
      <c r="L11" s="2">
        <f t="shared" si="3"/>
        <v>61646138.030655146</v>
      </c>
      <c r="M11" s="2">
        <f t="shared" si="3"/>
        <v>64111983.55188135</v>
      </c>
    </row>
    <row r="12" spans="1:13" ht="15.75">
      <c r="A12" t="s">
        <v>18</v>
      </c>
      <c r="C12" s="9">
        <v>0.04</v>
      </c>
      <c r="D12" s="8">
        <f>C12</f>
        <v>0.04</v>
      </c>
      <c r="E12" s="8">
        <f aca="true" t="shared" si="4" ref="E12:M12">D12</f>
        <v>0.04</v>
      </c>
      <c r="F12" s="8">
        <f t="shared" si="4"/>
        <v>0.04</v>
      </c>
      <c r="G12" s="8">
        <f t="shared" si="4"/>
        <v>0.04</v>
      </c>
      <c r="H12" s="8">
        <f t="shared" si="4"/>
        <v>0.04</v>
      </c>
      <c r="I12" s="8">
        <f t="shared" si="4"/>
        <v>0.04</v>
      </c>
      <c r="J12" s="8">
        <f t="shared" si="4"/>
        <v>0.04</v>
      </c>
      <c r="K12" s="8">
        <f t="shared" si="4"/>
        <v>0.04</v>
      </c>
      <c r="L12" s="8">
        <f t="shared" si="4"/>
        <v>0.04</v>
      </c>
      <c r="M12" s="8">
        <f t="shared" si="4"/>
        <v>0.04</v>
      </c>
    </row>
    <row r="13" spans="1:13" ht="15.75">
      <c r="A13" t="s">
        <v>57</v>
      </c>
      <c r="B13" s="1">
        <f>B11/B7*1000</f>
        <v>10.959453157894737</v>
      </c>
      <c r="C13" s="1">
        <f aca="true" t="shared" si="5" ref="C13:M13">C11/C7*1000</f>
        <v>11.341125655930874</v>
      </c>
      <c r="D13" s="1">
        <f t="shared" si="5"/>
        <v>11.736090231013044</v>
      </c>
      <c r="E13" s="1">
        <f t="shared" si="5"/>
        <v>12.144809791297083</v>
      </c>
      <c r="F13" s="1">
        <f t="shared" si="5"/>
        <v>12.567763366118378</v>
      </c>
      <c r="G13" s="1">
        <f t="shared" si="5"/>
        <v>13.005446667425984</v>
      </c>
      <c r="H13" s="1">
        <f t="shared" si="5"/>
        <v>13.45837267076918</v>
      </c>
      <c r="I13" s="1">
        <f t="shared" si="5"/>
        <v>13.927072216517361</v>
      </c>
      <c r="J13" s="1">
        <f t="shared" si="5"/>
        <v>14.41209463201797</v>
      </c>
      <c r="K13" s="1">
        <f t="shared" si="5"/>
        <v>14.914008375421583</v>
      </c>
      <c r="L13" s="1">
        <f t="shared" si="5"/>
        <v>15.433401701928803</v>
      </c>
      <c r="M13" s="1">
        <f t="shared" si="5"/>
        <v>15.970883353239758</v>
      </c>
    </row>
    <row r="15" ht="15.75">
      <c r="A15" t="s">
        <v>20</v>
      </c>
    </row>
    <row r="16" spans="1:2" ht="15.75">
      <c r="A16" t="s">
        <v>21</v>
      </c>
      <c r="B16">
        <v>2</v>
      </c>
    </row>
    <row r="17" spans="1:13" ht="15.75">
      <c r="A17" t="s">
        <v>22</v>
      </c>
      <c r="B17" s="7">
        <v>100000000</v>
      </c>
      <c r="D17" s="5">
        <f>D26+D36</f>
        <v>49515716.709814414</v>
      </c>
      <c r="E17" s="5">
        <f aca="true" t="shared" si="6" ref="E17:M17">E26+E36</f>
        <v>97561633.63391557</v>
      </c>
      <c r="F17" s="5">
        <f t="shared" si="6"/>
        <v>95539157.65036026</v>
      </c>
      <c r="G17" s="5">
        <f t="shared" si="6"/>
        <v>93445895.00738052</v>
      </c>
      <c r="H17" s="5">
        <f t="shared" si="6"/>
        <v>91279368.17189647</v>
      </c>
      <c r="I17" s="5">
        <f t="shared" si="6"/>
        <v>89037012.8971705</v>
      </c>
      <c r="J17" s="5">
        <f t="shared" si="6"/>
        <v>86716175.1878291</v>
      </c>
      <c r="K17" s="5">
        <f t="shared" si="6"/>
        <v>84314108.15866077</v>
      </c>
      <c r="L17" s="5">
        <f t="shared" si="6"/>
        <v>81827968.78347154</v>
      </c>
      <c r="M17" s="5">
        <f t="shared" si="6"/>
        <v>79254814.53015068</v>
      </c>
    </row>
    <row r="19" ht="15.75">
      <c r="A19" t="s">
        <v>23</v>
      </c>
    </row>
    <row r="20" spans="1:2" ht="15.75">
      <c r="A20" t="s">
        <v>24</v>
      </c>
      <c r="B20" s="9">
        <v>0.5</v>
      </c>
    </row>
    <row r="21" spans="1:2" ht="15.75">
      <c r="A21" t="s">
        <v>25</v>
      </c>
      <c r="B21" s="15">
        <v>0.035</v>
      </c>
    </row>
    <row r="22" spans="1:2" ht="15.75">
      <c r="A22" t="s">
        <v>26</v>
      </c>
      <c r="B22" s="13">
        <f>PMT(B21,30,-D23)</f>
        <v>2718566.5803711773</v>
      </c>
    </row>
    <row r="23" spans="1:13" ht="15.75">
      <c r="A23" t="s">
        <v>27</v>
      </c>
      <c r="B23" s="14" t="s">
        <v>31</v>
      </c>
      <c r="D23" s="12">
        <f>B17*B20</f>
        <v>50000000</v>
      </c>
      <c r="E23" s="2">
        <f>D26</f>
        <v>49515716.709814414</v>
      </c>
      <c r="F23" s="2">
        <f aca="true" t="shared" si="7" ref="F23:H23">E26</f>
        <v>48530200.214286745</v>
      </c>
      <c r="G23" s="2">
        <f t="shared" si="7"/>
        <v>47510190.6414156</v>
      </c>
      <c r="H23" s="2">
        <f t="shared" si="7"/>
        <v>46454480.73349397</v>
      </c>
      <c r="I23" s="2">
        <f aca="true" t="shared" si="8" ref="I23:M23">H26</f>
        <v>45361820.97879508</v>
      </c>
      <c r="J23" s="2">
        <f t="shared" si="8"/>
        <v>44230918.132681735</v>
      </c>
      <c r="K23" s="2">
        <f t="shared" si="8"/>
        <v>43060433.68695442</v>
      </c>
      <c r="L23" s="2">
        <f t="shared" si="8"/>
        <v>41848982.28562664</v>
      </c>
      <c r="M23" s="2">
        <f t="shared" si="8"/>
        <v>40595130.0852524</v>
      </c>
    </row>
    <row r="24" spans="1:13" ht="15.75" hidden="1">
      <c r="A24" t="s">
        <v>28</v>
      </c>
      <c r="D24" s="6">
        <f>D23*B21/2</f>
        <v>875000.0000000001</v>
      </c>
      <c r="E24" s="2">
        <f>E23*$B$21</f>
        <v>1733050.0848435047</v>
      </c>
      <c r="F24" s="2">
        <f aca="true" t="shared" si="9" ref="F24:H24">F23*$B$21</f>
        <v>1698557.0075000362</v>
      </c>
      <c r="G24" s="2">
        <f t="shared" si="9"/>
        <v>1662856.6724495462</v>
      </c>
      <c r="H24" s="2">
        <f t="shared" si="9"/>
        <v>1625906.8256722891</v>
      </c>
      <c r="I24" s="2">
        <f aca="true" t="shared" si="10" ref="I24">I23*$B$21</f>
        <v>1587663.734257828</v>
      </c>
      <c r="J24" s="2">
        <f aca="true" t="shared" si="11" ref="J24:K24">J23*$B$21</f>
        <v>1548082.1346438609</v>
      </c>
      <c r="K24" s="2">
        <f t="shared" si="11"/>
        <v>1507115.1790434048</v>
      </c>
      <c r="L24" s="2">
        <f aca="true" t="shared" si="12" ref="L24">L23*$B$21</f>
        <v>1464714.3799969326</v>
      </c>
      <c r="M24" s="2">
        <f aca="true" t="shared" si="13" ref="M24">M23*$B$21</f>
        <v>1420829.552983834</v>
      </c>
    </row>
    <row r="25" spans="1:13" ht="15.75" hidden="1">
      <c r="A25" t="s">
        <v>29</v>
      </c>
      <c r="D25" s="6">
        <f>(B22/2)-D24</f>
        <v>484283.2901855885</v>
      </c>
      <c r="E25" s="2">
        <f>$B$22-E24</f>
        <v>985516.4955276726</v>
      </c>
      <c r="F25" s="2">
        <f aca="true" t="shared" si="14" ref="F25:H25">$B$22-F24</f>
        <v>1020009.5728711411</v>
      </c>
      <c r="G25" s="2">
        <f t="shared" si="14"/>
        <v>1055709.9079216311</v>
      </c>
      <c r="H25" s="2">
        <f t="shared" si="14"/>
        <v>1092659.7546988882</v>
      </c>
      <c r="I25" s="2">
        <f aca="true" t="shared" si="15" ref="I25">$B$22-I24</f>
        <v>1130902.8461133493</v>
      </c>
      <c r="J25" s="2">
        <f aca="true" t="shared" si="16" ref="J25:K25">$B$22-J24</f>
        <v>1170484.4457273164</v>
      </c>
      <c r="K25" s="2">
        <f t="shared" si="16"/>
        <v>1211451.4013277725</v>
      </c>
      <c r="L25" s="2">
        <f aca="true" t="shared" si="17" ref="L25">$B$22-L24</f>
        <v>1253852.2003742447</v>
      </c>
      <c r="M25" s="2">
        <f aca="true" t="shared" si="18" ref="M25">$B$22-M24</f>
        <v>1297737.0273873433</v>
      </c>
    </row>
    <row r="26" spans="1:13" ht="15.75">
      <c r="A26" t="s">
        <v>30</v>
      </c>
      <c r="D26" s="5">
        <f>D23-D25</f>
        <v>49515716.709814414</v>
      </c>
      <c r="E26" s="2">
        <f>E23-E25</f>
        <v>48530200.214286745</v>
      </c>
      <c r="F26" s="2">
        <f aca="true" t="shared" si="19" ref="F26:H26">F23-F25</f>
        <v>47510190.6414156</v>
      </c>
      <c r="G26" s="2">
        <f t="shared" si="19"/>
        <v>46454480.73349397</v>
      </c>
      <c r="H26" s="2">
        <f t="shared" si="19"/>
        <v>45361820.97879508</v>
      </c>
      <c r="I26" s="2">
        <f aca="true" t="shared" si="20" ref="I26">I23-I25</f>
        <v>44230918.132681735</v>
      </c>
      <c r="J26" s="2">
        <f aca="true" t="shared" si="21" ref="J26:K26">J23-J25</f>
        <v>43060433.68695442</v>
      </c>
      <c r="K26" s="2">
        <f t="shared" si="21"/>
        <v>41848982.28562664</v>
      </c>
      <c r="L26" s="2">
        <f aca="true" t="shared" si="22" ref="L26">L23-L25</f>
        <v>40595130.0852524</v>
      </c>
      <c r="M26" s="2">
        <f aca="true" t="shared" si="23" ref="M26">M23-M25</f>
        <v>39297393.05786505</v>
      </c>
    </row>
    <row r="27" spans="1:13" ht="15.75" hidden="1">
      <c r="A27" t="s">
        <v>32</v>
      </c>
      <c r="D27" s="3">
        <f>D26/$D$23</f>
        <v>0.9903143341962883</v>
      </c>
      <c r="E27" s="3">
        <f aca="true" t="shared" si="24" ref="E27:M27">E26/$D$23</f>
        <v>0.9706040042857349</v>
      </c>
      <c r="F27" s="3">
        <f t="shared" si="24"/>
        <v>0.9502038128283121</v>
      </c>
      <c r="G27" s="3">
        <f t="shared" si="24"/>
        <v>0.9290896146698794</v>
      </c>
      <c r="H27" s="3">
        <f t="shared" si="24"/>
        <v>0.9072364195759016</v>
      </c>
      <c r="I27" s="3">
        <f t="shared" si="24"/>
        <v>0.8846183626536347</v>
      </c>
      <c r="J27" s="3">
        <f t="shared" si="24"/>
        <v>0.8612086737390884</v>
      </c>
      <c r="K27" s="3">
        <f t="shared" si="24"/>
        <v>0.8369796457125328</v>
      </c>
      <c r="L27" s="3">
        <f t="shared" si="24"/>
        <v>0.8119026017050479</v>
      </c>
      <c r="M27" s="3">
        <f t="shared" si="24"/>
        <v>0.7859478611573011</v>
      </c>
    </row>
    <row r="29" ht="15.75">
      <c r="A29" t="s">
        <v>23</v>
      </c>
    </row>
    <row r="30" spans="1:2" ht="15.75">
      <c r="A30" t="s">
        <v>24</v>
      </c>
      <c r="B30" s="8">
        <f>1-B20</f>
        <v>0.5</v>
      </c>
    </row>
    <row r="31" spans="1:2" ht="15.75">
      <c r="A31" t="s">
        <v>25</v>
      </c>
      <c r="B31" s="15">
        <v>0.035</v>
      </c>
    </row>
    <row r="32" spans="1:2" ht="15.75">
      <c r="A32" t="s">
        <v>26</v>
      </c>
      <c r="B32" s="13">
        <f>PMT(B31,30,-E33)</f>
        <v>2718566.5803711773</v>
      </c>
    </row>
    <row r="33" spans="1:13" ht="15.75">
      <c r="A33" t="s">
        <v>27</v>
      </c>
      <c r="B33" s="14" t="s">
        <v>31</v>
      </c>
      <c r="D33" s="12"/>
      <c r="E33" s="2">
        <f>B17*B30</f>
        <v>50000000</v>
      </c>
      <c r="F33" s="2">
        <f aca="true" t="shared" si="25" ref="F33:M33">E36</f>
        <v>49031433.41962882</v>
      </c>
      <c r="G33" s="2">
        <f t="shared" si="25"/>
        <v>48028967.00894465</v>
      </c>
      <c r="H33" s="2">
        <f t="shared" si="25"/>
        <v>46991414.27388654</v>
      </c>
      <c r="I33" s="2">
        <f t="shared" si="25"/>
        <v>45917547.19310139</v>
      </c>
      <c r="J33" s="2">
        <f t="shared" si="25"/>
        <v>44806094.764488764</v>
      </c>
      <c r="K33" s="2">
        <f t="shared" si="25"/>
        <v>43655741.50087469</v>
      </c>
      <c r="L33" s="2">
        <f t="shared" si="25"/>
        <v>42465125.87303413</v>
      </c>
      <c r="M33" s="2">
        <f t="shared" si="25"/>
        <v>41232838.69821914</v>
      </c>
    </row>
    <row r="34" spans="1:13" ht="15.75" hidden="1">
      <c r="A34" t="s">
        <v>28</v>
      </c>
      <c r="D34" s="6"/>
      <c r="E34" s="2">
        <f>E33*$B$31</f>
        <v>1750000.0000000002</v>
      </c>
      <c r="F34" s="2">
        <f aca="true" t="shared" si="26" ref="F34:M34">F33*$B$31</f>
        <v>1716100.169687009</v>
      </c>
      <c r="G34" s="2">
        <f t="shared" si="26"/>
        <v>1681013.8453130631</v>
      </c>
      <c r="H34" s="2">
        <f t="shared" si="26"/>
        <v>1644699.499586029</v>
      </c>
      <c r="I34" s="2">
        <f t="shared" si="26"/>
        <v>1607114.1517585488</v>
      </c>
      <c r="J34" s="2">
        <f t="shared" si="26"/>
        <v>1568213.316757107</v>
      </c>
      <c r="K34" s="2">
        <f t="shared" si="26"/>
        <v>1527950.9525306143</v>
      </c>
      <c r="L34" s="2">
        <f t="shared" si="26"/>
        <v>1486279.4055561945</v>
      </c>
      <c r="M34" s="2">
        <f t="shared" si="26"/>
        <v>1443149.3544376702</v>
      </c>
    </row>
    <row r="35" spans="1:13" ht="15.75" hidden="1">
      <c r="A35" t="s">
        <v>29</v>
      </c>
      <c r="D35" s="6"/>
      <c r="E35" s="2">
        <f>$B$32-E34</f>
        <v>968566.580371177</v>
      </c>
      <c r="F35" s="2">
        <f aca="true" t="shared" si="27" ref="F35:M35">$B$32-F34</f>
        <v>1002466.4106841683</v>
      </c>
      <c r="G35" s="2">
        <f t="shared" si="27"/>
        <v>1037552.7350581142</v>
      </c>
      <c r="H35" s="2">
        <f t="shared" si="27"/>
        <v>1073867.0807851483</v>
      </c>
      <c r="I35" s="2">
        <f t="shared" si="27"/>
        <v>1111452.4286126285</v>
      </c>
      <c r="J35" s="2">
        <f t="shared" si="27"/>
        <v>1150353.2636140704</v>
      </c>
      <c r="K35" s="2">
        <f t="shared" si="27"/>
        <v>1190615.627840563</v>
      </c>
      <c r="L35" s="2">
        <f t="shared" si="27"/>
        <v>1232287.1748149828</v>
      </c>
      <c r="M35" s="2">
        <f t="shared" si="27"/>
        <v>1275417.225933507</v>
      </c>
    </row>
    <row r="36" spans="1:13" ht="15.75">
      <c r="A36" t="s">
        <v>30</v>
      </c>
      <c r="D36" s="5"/>
      <c r="E36" s="2">
        <f>E33-E35</f>
        <v>49031433.41962882</v>
      </c>
      <c r="F36" s="2">
        <f aca="true" t="shared" si="28" ref="F36:M36">F33-F35</f>
        <v>48028967.00894465</v>
      </c>
      <c r="G36" s="2">
        <f t="shared" si="28"/>
        <v>46991414.27388654</v>
      </c>
      <c r="H36" s="2">
        <f t="shared" si="28"/>
        <v>45917547.19310139</v>
      </c>
      <c r="I36" s="2">
        <f t="shared" si="28"/>
        <v>44806094.764488764</v>
      </c>
      <c r="J36" s="2">
        <f t="shared" si="28"/>
        <v>43655741.50087469</v>
      </c>
      <c r="K36" s="2">
        <f t="shared" si="28"/>
        <v>42465125.87303413</v>
      </c>
      <c r="L36" s="2">
        <f t="shared" si="28"/>
        <v>41232838.69821914</v>
      </c>
      <c r="M36" s="2">
        <f t="shared" si="28"/>
        <v>39957421.472285636</v>
      </c>
    </row>
    <row r="37" spans="1:13" ht="15.75" hidden="1">
      <c r="A37" t="s">
        <v>32</v>
      </c>
      <c r="D37" s="3"/>
      <c r="E37" s="3">
        <f aca="true" t="shared" si="29" ref="E37">E36/$D$23</f>
        <v>0.9806286683925765</v>
      </c>
      <c r="F37" s="3">
        <f aca="true" t="shared" si="30" ref="F37">F36/$D$23</f>
        <v>0.960579340178893</v>
      </c>
      <c r="G37" s="3">
        <f aca="true" t="shared" si="31" ref="G37">G36/$D$23</f>
        <v>0.9398282854777308</v>
      </c>
      <c r="H37" s="3">
        <f aca="true" t="shared" si="32" ref="H37">H36/$D$23</f>
        <v>0.9183509438620279</v>
      </c>
      <c r="I37" s="3">
        <f aca="true" t="shared" si="33" ref="I37">I36/$D$23</f>
        <v>0.8961218952897753</v>
      </c>
      <c r="J37" s="3">
        <f aca="true" t="shared" si="34" ref="J37">J36/$D$23</f>
        <v>0.8731148300174938</v>
      </c>
      <c r="K37" s="3">
        <f aca="true" t="shared" si="35" ref="K37">K36/$D$23</f>
        <v>0.8493025174606825</v>
      </c>
      <c r="L37" s="3">
        <f aca="true" t="shared" si="36" ref="L37">L36/$D$23</f>
        <v>0.8246567739643829</v>
      </c>
      <c r="M37" s="3">
        <f aca="true" t="shared" si="37" ref="M37">M36/$D$23</f>
        <v>0.7991484294457127</v>
      </c>
    </row>
    <row r="39" spans="1:13" ht="15.75">
      <c r="A39" t="s">
        <v>33</v>
      </c>
      <c r="D39" s="5">
        <f>D24+D25+D34+D35</f>
        <v>1359283.2901855886</v>
      </c>
      <c r="E39" s="5">
        <f aca="true" t="shared" si="38" ref="E39:M39">E24+E25+E34+E35</f>
        <v>5437133.160742355</v>
      </c>
      <c r="F39" s="5">
        <f t="shared" si="38"/>
        <v>5437133.160742355</v>
      </c>
      <c r="G39" s="5">
        <f t="shared" si="38"/>
        <v>5437133.160742355</v>
      </c>
      <c r="H39" s="5">
        <f t="shared" si="38"/>
        <v>5437133.160742354</v>
      </c>
      <c r="I39" s="5">
        <f t="shared" si="38"/>
        <v>5437133.1607423555</v>
      </c>
      <c r="J39" s="5">
        <f t="shared" si="38"/>
        <v>5437133.160742355</v>
      </c>
      <c r="K39" s="5">
        <f t="shared" si="38"/>
        <v>5437133.160742355</v>
      </c>
      <c r="L39" s="5">
        <f t="shared" si="38"/>
        <v>5437133.160742354</v>
      </c>
      <c r="M39" s="5">
        <f t="shared" si="38"/>
        <v>5437133.160742355</v>
      </c>
    </row>
    <row r="40" spans="1:13" ht="15.75" hidden="1">
      <c r="A40" t="s">
        <v>34</v>
      </c>
      <c r="D40" s="6">
        <f>D24+D34</f>
        <v>875000.0000000001</v>
      </c>
      <c r="E40" s="6">
        <f aca="true" t="shared" si="39" ref="E40:M40">E24+E34</f>
        <v>3483050.084843505</v>
      </c>
      <c r="F40" s="6">
        <f t="shared" si="39"/>
        <v>3414657.177187045</v>
      </c>
      <c r="G40" s="6">
        <f t="shared" si="39"/>
        <v>3343870.5177626093</v>
      </c>
      <c r="H40" s="6">
        <f t="shared" si="39"/>
        <v>3270606.3252583183</v>
      </c>
      <c r="I40" s="6">
        <f t="shared" si="39"/>
        <v>3194777.886016377</v>
      </c>
      <c r="J40" s="6">
        <f t="shared" si="39"/>
        <v>3116295.451400968</v>
      </c>
      <c r="K40" s="6">
        <f t="shared" si="39"/>
        <v>3035066.131574019</v>
      </c>
      <c r="L40" s="6">
        <f t="shared" si="39"/>
        <v>2950993.785553127</v>
      </c>
      <c r="M40" s="6">
        <f t="shared" si="39"/>
        <v>2863978.907421504</v>
      </c>
    </row>
    <row r="41" spans="1:13" ht="15.75" hidden="1">
      <c r="A41" t="s">
        <v>35</v>
      </c>
      <c r="D41" s="6">
        <f>D25+D35</f>
        <v>484283.2901855885</v>
      </c>
      <c r="E41" s="6">
        <f aca="true" t="shared" si="40" ref="E41:M41">E25+E35</f>
        <v>1954083.0758988496</v>
      </c>
      <c r="F41" s="6">
        <f t="shared" si="40"/>
        <v>2022475.9835553095</v>
      </c>
      <c r="G41" s="6">
        <f t="shared" si="40"/>
        <v>2093262.6429797453</v>
      </c>
      <c r="H41" s="6">
        <f t="shared" si="40"/>
        <v>2166526.8354840362</v>
      </c>
      <c r="I41" s="6">
        <f t="shared" si="40"/>
        <v>2242355.274725978</v>
      </c>
      <c r="J41" s="6">
        <f t="shared" si="40"/>
        <v>2320837.709341387</v>
      </c>
      <c r="K41" s="6">
        <f t="shared" si="40"/>
        <v>2402067.0291683357</v>
      </c>
      <c r="L41" s="6">
        <f t="shared" si="40"/>
        <v>2486139.3751892275</v>
      </c>
      <c r="M41" s="6">
        <f t="shared" si="40"/>
        <v>2573154.2533208504</v>
      </c>
    </row>
    <row r="43" ht="15.75">
      <c r="A43" t="s">
        <v>37</v>
      </c>
    </row>
    <row r="44" spans="1:2" ht="15.75">
      <c r="A44" t="s">
        <v>36</v>
      </c>
      <c r="B44" s="15">
        <v>0.0925</v>
      </c>
    </row>
    <row r="45" spans="1:13" ht="15.75">
      <c r="A45" t="s">
        <v>38</v>
      </c>
      <c r="B45" s="5">
        <f>B44*B11</f>
        <v>3852247.785</v>
      </c>
      <c r="C45" s="5">
        <f>B45</f>
        <v>3852247.785</v>
      </c>
      <c r="D45" s="5">
        <f aca="true" t="shared" si="41" ref="D45:M45">C45</f>
        <v>3852247.785</v>
      </c>
      <c r="E45" s="5">
        <f t="shared" si="41"/>
        <v>3852247.785</v>
      </c>
      <c r="F45" s="5">
        <f t="shared" si="41"/>
        <v>3852247.785</v>
      </c>
      <c r="G45" s="5">
        <f t="shared" si="41"/>
        <v>3852247.785</v>
      </c>
      <c r="H45" s="5">
        <f t="shared" si="41"/>
        <v>3852247.785</v>
      </c>
      <c r="I45" s="5">
        <f t="shared" si="41"/>
        <v>3852247.785</v>
      </c>
      <c r="J45" s="5">
        <f t="shared" si="41"/>
        <v>3852247.785</v>
      </c>
      <c r="K45" s="5">
        <f t="shared" si="41"/>
        <v>3852247.785</v>
      </c>
      <c r="L45" s="5">
        <f t="shared" si="41"/>
        <v>3852247.785</v>
      </c>
      <c r="M45" s="5">
        <f t="shared" si="41"/>
        <v>3852247.785</v>
      </c>
    </row>
    <row r="46" spans="1:13" ht="15.75">
      <c r="A46" t="s">
        <v>42</v>
      </c>
      <c r="B46" s="5">
        <v>1878262</v>
      </c>
      <c r="C46" s="5">
        <v>1361128</v>
      </c>
      <c r="D46" s="5">
        <v>899673</v>
      </c>
      <c r="E46" s="5">
        <v>623251</v>
      </c>
      <c r="F46" s="5">
        <v>497551</v>
      </c>
      <c r="G46" s="5">
        <v>487351</v>
      </c>
      <c r="H46" s="5">
        <v>477151</v>
      </c>
      <c r="I46" s="5">
        <v>466951</v>
      </c>
      <c r="J46" s="5">
        <v>456708</v>
      </c>
      <c r="K46" s="5">
        <v>365100</v>
      </c>
      <c r="L46" s="5">
        <v>354050</v>
      </c>
      <c r="M46" s="5">
        <v>73631</v>
      </c>
    </row>
    <row r="47" spans="1:13" ht="15.75">
      <c r="A47" t="s">
        <v>49</v>
      </c>
      <c r="B47" s="5">
        <f>B46+B45</f>
        <v>5730509.785</v>
      </c>
      <c r="C47" s="5">
        <f aca="true" t="shared" si="42" ref="C47:M47">C46+C45</f>
        <v>5213375.785</v>
      </c>
      <c r="D47" s="5">
        <f t="shared" si="42"/>
        <v>4751920.785</v>
      </c>
      <c r="E47" s="5">
        <f t="shared" si="42"/>
        <v>4475498.785</v>
      </c>
      <c r="F47" s="5">
        <f t="shared" si="42"/>
        <v>4349798.785</v>
      </c>
      <c r="G47" s="5">
        <f t="shared" si="42"/>
        <v>4339598.785</v>
      </c>
      <c r="H47" s="5">
        <f t="shared" si="42"/>
        <v>4329398.785</v>
      </c>
      <c r="I47" s="5">
        <f t="shared" si="42"/>
        <v>4319198.785</v>
      </c>
      <c r="J47" s="5">
        <f t="shared" si="42"/>
        <v>4308955.785</v>
      </c>
      <c r="K47" s="5">
        <f t="shared" si="42"/>
        <v>4217347.785</v>
      </c>
      <c r="L47" s="5">
        <f t="shared" si="42"/>
        <v>4206297.785</v>
      </c>
      <c r="M47" s="5">
        <f t="shared" si="42"/>
        <v>3925878.785</v>
      </c>
    </row>
    <row r="49" spans="1:13" ht="15.75">
      <c r="A49" t="s">
        <v>41</v>
      </c>
      <c r="D49" s="5">
        <f>D39-D45</f>
        <v>-2492964.4948144117</v>
      </c>
      <c r="E49" s="5">
        <f>E39-E45</f>
        <v>1584885.3757423544</v>
      </c>
      <c r="F49" s="5">
        <f>F39-F45</f>
        <v>1584885.3757423544</v>
      </c>
      <c r="G49" s="5">
        <f aca="true" t="shared" si="43" ref="G49:M49">G39-G45</f>
        <v>1584885.3757423544</v>
      </c>
      <c r="H49" s="5">
        <f t="shared" si="43"/>
        <v>1584885.3757423535</v>
      </c>
      <c r="I49" s="5">
        <f t="shared" si="43"/>
        <v>1584885.3757423554</v>
      </c>
      <c r="J49" s="5">
        <f t="shared" si="43"/>
        <v>1584885.3757423544</v>
      </c>
      <c r="K49" s="5">
        <f t="shared" si="43"/>
        <v>1584885.3757423544</v>
      </c>
      <c r="L49" s="5">
        <f t="shared" si="43"/>
        <v>1584885.3757423535</v>
      </c>
      <c r="M49" s="5">
        <f t="shared" si="43"/>
        <v>1584885.3757423544</v>
      </c>
    </row>
    <row r="50" spans="1:13" ht="15.75">
      <c r="A50" t="s">
        <v>39</v>
      </c>
      <c r="E50" s="2">
        <f>IF(E49&gt;0,E49,0)</f>
        <v>1584885.3757423544</v>
      </c>
      <c r="F50" s="2">
        <f>IF(F49&gt;0,F49,0)</f>
        <v>1584885.3757423544</v>
      </c>
      <c r="G50" s="2">
        <f aca="true" t="shared" si="44" ref="G50:M50">IF(G49&gt;0,G49,0)</f>
        <v>1584885.3757423544</v>
      </c>
      <c r="H50" s="2">
        <f t="shared" si="44"/>
        <v>1584885.3757423535</v>
      </c>
      <c r="I50" s="2">
        <f t="shared" si="44"/>
        <v>1584885.3757423554</v>
      </c>
      <c r="J50" s="2">
        <f t="shared" si="44"/>
        <v>1584885.3757423544</v>
      </c>
      <c r="K50" s="2">
        <f t="shared" si="44"/>
        <v>1584885.3757423544</v>
      </c>
      <c r="L50" s="2">
        <f t="shared" si="44"/>
        <v>1584885.3757423535</v>
      </c>
      <c r="M50" s="2">
        <f t="shared" si="44"/>
        <v>1584885.3757423544</v>
      </c>
    </row>
    <row r="51" spans="1:13" ht="15.75">
      <c r="A51" t="s">
        <v>40</v>
      </c>
      <c r="B51" s="5">
        <f>B47</f>
        <v>5730509.785</v>
      </c>
      <c r="C51" s="5">
        <f>B51+C47-C49-C50</f>
        <v>10943885.57</v>
      </c>
      <c r="D51" s="5">
        <f>C51+D47-D39</f>
        <v>14336523.064814411</v>
      </c>
      <c r="E51" s="5">
        <f>D51-E50</f>
        <v>12751637.689072058</v>
      </c>
      <c r="F51" s="5">
        <f>E51-F50</f>
        <v>11166752.313329704</v>
      </c>
      <c r="G51" s="5">
        <f aca="true" t="shared" si="45" ref="G51:M51">F51-G50</f>
        <v>9581866.93758735</v>
      </c>
      <c r="H51" s="5">
        <f t="shared" si="45"/>
        <v>7996981.561844997</v>
      </c>
      <c r="I51" s="5">
        <f t="shared" si="45"/>
        <v>6412096.186102642</v>
      </c>
      <c r="J51" s="5">
        <f t="shared" si="45"/>
        <v>4827210.810360287</v>
      </c>
      <c r="K51" s="5">
        <f t="shared" si="45"/>
        <v>3242325.434617933</v>
      </c>
      <c r="L51" s="5">
        <f t="shared" si="45"/>
        <v>1657440.0588755794</v>
      </c>
      <c r="M51" s="5">
        <f t="shared" si="45"/>
        <v>72554.68313322496</v>
      </c>
    </row>
    <row r="52" spans="2:13" ht="15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.75">
      <c r="A53" t="s">
        <v>62</v>
      </c>
      <c r="B53" s="5">
        <f>B45</f>
        <v>3852247.785</v>
      </c>
      <c r="C53" s="5">
        <f aca="true" t="shared" si="46" ref="C53:M53">C45</f>
        <v>3852247.785</v>
      </c>
      <c r="D53" s="5">
        <f t="shared" si="46"/>
        <v>3852247.785</v>
      </c>
      <c r="E53" s="5">
        <f t="shared" si="46"/>
        <v>3852247.785</v>
      </c>
      <c r="F53" s="5">
        <f t="shared" si="46"/>
        <v>3852247.785</v>
      </c>
      <c r="G53" s="5">
        <f t="shared" si="46"/>
        <v>3852247.785</v>
      </c>
      <c r="H53" s="5">
        <f t="shared" si="46"/>
        <v>3852247.785</v>
      </c>
      <c r="I53" s="5">
        <f t="shared" si="46"/>
        <v>3852247.785</v>
      </c>
      <c r="J53" s="5">
        <f t="shared" si="46"/>
        <v>3852247.785</v>
      </c>
      <c r="K53" s="5">
        <f t="shared" si="46"/>
        <v>3852247.785</v>
      </c>
      <c r="L53" s="5">
        <f t="shared" si="46"/>
        <v>3852247.785</v>
      </c>
      <c r="M53" s="5">
        <f t="shared" si="46"/>
        <v>3852247.785</v>
      </c>
    </row>
    <row r="54" spans="1:13" ht="15.75">
      <c r="A54" t="s">
        <v>63</v>
      </c>
      <c r="B54" s="1">
        <f>B53/B7*1000</f>
        <v>1.0137494171052632</v>
      </c>
      <c r="C54" s="1">
        <f aca="true" t="shared" si="47" ref="C54:M54">C53/C7*1000</f>
        <v>1.0087058876669286</v>
      </c>
      <c r="D54" s="1">
        <f t="shared" si="47"/>
        <v>1.0036874504148545</v>
      </c>
      <c r="E54" s="1">
        <f t="shared" si="47"/>
        <v>0.9986939805122933</v>
      </c>
      <c r="F54" s="1">
        <f t="shared" si="47"/>
        <v>0.9937253537435754</v>
      </c>
      <c r="G54" s="1">
        <f t="shared" si="47"/>
        <v>0.9887814465110204</v>
      </c>
      <c r="H54" s="1">
        <f t="shared" si="47"/>
        <v>0.9838621358318612</v>
      </c>
      <c r="I54" s="1">
        <f t="shared" si="47"/>
        <v>0.9789672993351854</v>
      </c>
      <c r="J54" s="1">
        <f t="shared" si="47"/>
        <v>0.974096815258891</v>
      </c>
      <c r="K54" s="1">
        <f t="shared" si="47"/>
        <v>0.9692505624466579</v>
      </c>
      <c r="L54" s="1">
        <f t="shared" si="47"/>
        <v>0.9644284203449334</v>
      </c>
      <c r="M54" s="1">
        <f t="shared" si="47"/>
        <v>0.9596302689999339</v>
      </c>
    </row>
    <row r="55" spans="1:13" ht="15.75">
      <c r="A55" t="s">
        <v>43</v>
      </c>
      <c r="B55" s="4">
        <f>B45/B11</f>
        <v>0.0925</v>
      </c>
      <c r="C55" s="4">
        <f aca="true" t="shared" si="48" ref="C55:M55">C45/C11</f>
        <v>0.0889423076923077</v>
      </c>
      <c r="D55" s="4">
        <f t="shared" si="48"/>
        <v>0.08552144970414201</v>
      </c>
      <c r="E55" s="4">
        <f t="shared" si="48"/>
        <v>0.08223216317705963</v>
      </c>
      <c r="F55" s="4">
        <f t="shared" si="48"/>
        <v>0.07906938767024962</v>
      </c>
      <c r="G55" s="4">
        <f t="shared" si="48"/>
        <v>0.07602825737524002</v>
      </c>
      <c r="H55" s="4">
        <f t="shared" si="48"/>
        <v>0.07310409363003849</v>
      </c>
      <c r="I55" s="4">
        <f t="shared" si="48"/>
        <v>0.07029239772119085</v>
      </c>
      <c r="J55" s="4">
        <f t="shared" si="48"/>
        <v>0.06758884396268351</v>
      </c>
      <c r="K55" s="4">
        <f t="shared" si="48"/>
        <v>0.06498927304104184</v>
      </c>
      <c r="L55" s="4">
        <f t="shared" si="48"/>
        <v>0.062489685616386376</v>
      </c>
      <c r="M55" s="4">
        <f t="shared" si="48"/>
        <v>0.060086236169602285</v>
      </c>
    </row>
    <row r="56" spans="1:13" ht="15.75">
      <c r="A56" t="s">
        <v>44</v>
      </c>
      <c r="D56" s="4">
        <f>(D26+D36)/D8</f>
        <v>0.011813071956005962</v>
      </c>
      <c r="E56" s="4">
        <f aca="true" t="shared" si="49" ref="E56:M56">(E26+E36)/E8</f>
        <v>0.02315969212787715</v>
      </c>
      <c r="F56" s="4">
        <f t="shared" si="49"/>
        <v>0.022566752412577298</v>
      </c>
      <c r="G56" s="4">
        <f t="shared" si="49"/>
        <v>0.021962502426217105</v>
      </c>
      <c r="H56" s="4">
        <f t="shared" si="49"/>
        <v>0.021346572760596084</v>
      </c>
      <c r="I56" s="4">
        <f>(I26+I36)/I8</f>
        <v>0.020718583138553397</v>
      </c>
      <c r="J56" s="4">
        <f t="shared" si="49"/>
        <v>0.02007814208873443</v>
      </c>
      <c r="K56" s="4">
        <f t="shared" si="49"/>
        <v>0.019424846610652878</v>
      </c>
      <c r="L56" s="4">
        <f t="shared" si="49"/>
        <v>0.018758281829758538</v>
      </c>
      <c r="M56" s="4">
        <f t="shared" si="49"/>
        <v>0.018078020642212506</v>
      </c>
    </row>
    <row r="58" ht="15.75">
      <c r="A58" t="s">
        <v>45</v>
      </c>
    </row>
    <row r="59" ht="15.75">
      <c r="A59" t="s">
        <v>46</v>
      </c>
    </row>
    <row r="60" ht="15.75">
      <c r="A60" t="s">
        <v>47</v>
      </c>
    </row>
    <row r="61" ht="15.75">
      <c r="A61" t="s">
        <v>48</v>
      </c>
    </row>
    <row r="62" ht="15.75">
      <c r="A62" t="s">
        <v>50</v>
      </c>
    </row>
    <row r="63" ht="15.75">
      <c r="A63" t="s">
        <v>51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1CAB-3CE6-B74F-A7CE-D12EF3FBE8D3}">
  <dimension ref="A1:R28"/>
  <sheetViews>
    <sheetView workbookViewId="0" topLeftCell="A15">
      <selection activeCell="G39" sqref="G39"/>
    </sheetView>
  </sheetViews>
  <sheetFormatPr defaultColWidth="11.00390625" defaultRowHeight="15.75"/>
  <cols>
    <col min="1" max="1" width="22.125" style="0" customWidth="1"/>
    <col min="2" max="2" width="12.50390625" style="0" bestFit="1" customWidth="1"/>
    <col min="3" max="3" width="5.50390625" style="0" customWidth="1"/>
    <col min="4" max="10" width="14.50390625" style="0" customWidth="1"/>
    <col min="12" max="12" width="13.375" style="0" customWidth="1"/>
  </cols>
  <sheetData>
    <row r="1" ht="15.75">
      <c r="A1" t="s">
        <v>68</v>
      </c>
    </row>
    <row r="2" spans="5:6" ht="15.75">
      <c r="E2" t="s">
        <v>72</v>
      </c>
      <c r="F2" s="2">
        <f>'Capital Reserve Funding - Level'!B17</f>
        <v>100000000</v>
      </c>
    </row>
    <row r="3" spans="1:6" ht="15.75">
      <c r="A3" s="17" t="s">
        <v>52</v>
      </c>
      <c r="B3" s="16">
        <v>700000</v>
      </c>
      <c r="E3" t="s">
        <v>58</v>
      </c>
      <c r="F3" s="8">
        <f>'Capital Reserve Funding - Level'!C12</f>
        <v>0.04</v>
      </c>
    </row>
    <row r="4" spans="1:17" ht="15.75">
      <c r="A4" t="s">
        <v>53</v>
      </c>
      <c r="B4" s="2">
        <f>B3*0.95</f>
        <v>665000</v>
      </c>
      <c r="C4" s="14" t="s">
        <v>54</v>
      </c>
      <c r="D4" s="2">
        <f>ROUND(B3/0.85,-4)</f>
        <v>820000</v>
      </c>
      <c r="O4" t="s">
        <v>76</v>
      </c>
      <c r="P4" t="s">
        <v>77</v>
      </c>
      <c r="Q4" t="s">
        <v>78</v>
      </c>
    </row>
    <row r="6" spans="2:10" ht="15.75">
      <c r="B6" s="14" t="s">
        <v>12</v>
      </c>
      <c r="C6" s="14" t="s">
        <v>56</v>
      </c>
      <c r="D6" s="14" t="s">
        <v>64</v>
      </c>
      <c r="E6" s="14" t="s">
        <v>59</v>
      </c>
      <c r="F6" s="14" t="s">
        <v>66</v>
      </c>
      <c r="G6" s="14" t="s">
        <v>67</v>
      </c>
      <c r="H6" s="14" t="s">
        <v>60</v>
      </c>
      <c r="I6" s="14" t="s">
        <v>61</v>
      </c>
      <c r="J6" s="14" t="s">
        <v>65</v>
      </c>
    </row>
    <row r="7" spans="1:17" ht="15.75">
      <c r="A7" t="s">
        <v>55</v>
      </c>
      <c r="B7">
        <v>-1</v>
      </c>
      <c r="C7">
        <v>25</v>
      </c>
      <c r="D7" s="6">
        <f>'Capital Reserve Funding - Level'!B13</f>
        <v>10.959453157894737</v>
      </c>
      <c r="E7" s="2">
        <f>$B$3*D7/1000</f>
        <v>7671.617210526317</v>
      </c>
      <c r="F7" s="1">
        <f>D7+'Capital Reserve Funding - Level'!B54</f>
        <v>11.973202575</v>
      </c>
      <c r="G7" s="5">
        <f>$B$3*F7/1000</f>
        <v>8381.2418025</v>
      </c>
      <c r="H7" s="5">
        <f aca="true" t="shared" si="0" ref="H7:H18">G7-E7</f>
        <v>709.6245919736839</v>
      </c>
      <c r="I7" s="4">
        <f aca="true" t="shared" si="1" ref="I7:I18">H7/E7</f>
        <v>0.09249999999999994</v>
      </c>
      <c r="N7" t="s">
        <v>13</v>
      </c>
      <c r="O7" t="s">
        <v>79</v>
      </c>
      <c r="P7" t="s">
        <v>80</v>
      </c>
      <c r="Q7" t="s">
        <v>78</v>
      </c>
    </row>
    <row r="8" spans="2:18" ht="15.75">
      <c r="B8">
        <v>0</v>
      </c>
      <c r="C8">
        <v>26</v>
      </c>
      <c r="D8" s="6">
        <f>'Capital Reserve Funding - Level'!C13</f>
        <v>11.341125655930874</v>
      </c>
      <c r="E8" s="2">
        <f aca="true" t="shared" si="2" ref="E8:E17">$B$3*D8/1000</f>
        <v>7938.787959151612</v>
      </c>
      <c r="F8" s="1">
        <f>D8+'Capital Reserve Funding - Level'!C54</f>
        <v>12.349831543597803</v>
      </c>
      <c r="G8" s="5">
        <f aca="true" t="shared" si="3" ref="G8:G18">$B$3*F8/1000</f>
        <v>8644.882080518462</v>
      </c>
      <c r="H8" s="5">
        <f t="shared" si="0"/>
        <v>706.0941213668502</v>
      </c>
      <c r="I8" s="4">
        <f t="shared" si="1"/>
        <v>0.08894230769230771</v>
      </c>
      <c r="J8" s="10">
        <f>I8-I7</f>
        <v>-0.003557692307692234</v>
      </c>
      <c r="N8">
        <v>2026</v>
      </c>
      <c r="O8" s="6">
        <f>F7</f>
        <v>11.973202575</v>
      </c>
      <c r="P8" s="6">
        <f>Q8</f>
        <v>10.959453157894737</v>
      </c>
      <c r="Q8" s="6">
        <f>D7</f>
        <v>10.959453157894737</v>
      </c>
      <c r="R8" s="18">
        <v>7700</v>
      </c>
    </row>
    <row r="9" spans="2:18" ht="15.75">
      <c r="B9">
        <v>1</v>
      </c>
      <c r="C9">
        <v>27</v>
      </c>
      <c r="D9" s="6">
        <f>'Capital Reserve Funding - Level'!D13</f>
        <v>11.736090231013044</v>
      </c>
      <c r="E9" s="2">
        <f t="shared" si="2"/>
        <v>8215.26316170913</v>
      </c>
      <c r="F9" s="1">
        <f>D9+'Capital Reserve Funding - Level'!D54</f>
        <v>12.7397776814279</v>
      </c>
      <c r="G9" s="5">
        <f t="shared" si="3"/>
        <v>8917.844376999528</v>
      </c>
      <c r="H9" s="5">
        <f t="shared" si="0"/>
        <v>702.5812152903982</v>
      </c>
      <c r="I9" s="4">
        <f t="shared" si="1"/>
        <v>0.08552144970414202</v>
      </c>
      <c r="J9" s="10">
        <f aca="true" t="shared" si="4" ref="J9:J18">I9-I8</f>
        <v>-0.0034208579881656875</v>
      </c>
      <c r="N9">
        <v>2027</v>
      </c>
      <c r="O9" s="6">
        <f aca="true" t="shared" si="5" ref="O9:O18">F8</f>
        <v>12.349831543597803</v>
      </c>
      <c r="P9" s="1">
        <f>R9/700</f>
        <v>11.94</v>
      </c>
      <c r="Q9" s="6">
        <f aca="true" t="shared" si="6" ref="Q9:Q18">D8</f>
        <v>11.341125655930874</v>
      </c>
      <c r="R9" s="18">
        <v>8358</v>
      </c>
    </row>
    <row r="10" spans="2:18" ht="15.75">
      <c r="B10">
        <v>2</v>
      </c>
      <c r="C10">
        <v>28</v>
      </c>
      <c r="D10" s="1">
        <f>'Capital Reserve Funding - Level'!E13</f>
        <v>12.144809791297083</v>
      </c>
      <c r="E10" s="2">
        <f t="shared" si="2"/>
        <v>8501.366853907957</v>
      </c>
      <c r="F10" s="1">
        <f>D10+'Capital Reserve Funding - Level'!E54</f>
        <v>13.143503771809376</v>
      </c>
      <c r="G10" s="5">
        <f t="shared" si="3"/>
        <v>9200.452640266563</v>
      </c>
      <c r="H10" s="5">
        <f t="shared" si="0"/>
        <v>699.0857863586061</v>
      </c>
      <c r="I10" s="4">
        <f t="shared" si="1"/>
        <v>0.08223216317705974</v>
      </c>
      <c r="J10" s="10">
        <f t="shared" si="4"/>
        <v>-0.003289286527082283</v>
      </c>
      <c r="N10">
        <v>2028</v>
      </c>
      <c r="O10" s="6">
        <f t="shared" si="5"/>
        <v>12.7397776814279</v>
      </c>
      <c r="P10" s="1">
        <f aca="true" t="shared" si="7" ref="P10:P18">R10/700</f>
        <v>12.88</v>
      </c>
      <c r="Q10" s="6">
        <f t="shared" si="6"/>
        <v>11.736090231013044</v>
      </c>
      <c r="R10" s="18">
        <v>9016</v>
      </c>
    </row>
    <row r="11" spans="2:18" ht="15.75">
      <c r="B11">
        <v>3</v>
      </c>
      <c r="C11">
        <v>29</v>
      </c>
      <c r="D11" s="6">
        <f>'Capital Reserve Funding - Level'!F13</f>
        <v>12.567763366118378</v>
      </c>
      <c r="E11" s="2">
        <f t="shared" si="2"/>
        <v>8797.434356282864</v>
      </c>
      <c r="F11" s="1">
        <f>D11+'Capital Reserve Funding - Level'!F54</f>
        <v>13.561488719861954</v>
      </c>
      <c r="G11" s="5">
        <f t="shared" si="3"/>
        <v>9493.042103903368</v>
      </c>
      <c r="H11" s="5">
        <f t="shared" si="0"/>
        <v>695.6077476205046</v>
      </c>
      <c r="I11" s="4">
        <f t="shared" si="1"/>
        <v>0.07906938767024985</v>
      </c>
      <c r="J11" s="10">
        <f t="shared" si="4"/>
        <v>-0.0031627755068098923</v>
      </c>
      <c r="N11">
        <v>2029</v>
      </c>
      <c r="O11" s="6">
        <f t="shared" si="5"/>
        <v>13.143503771809376</v>
      </c>
      <c r="P11" s="1">
        <f t="shared" si="7"/>
        <v>13.29</v>
      </c>
      <c r="Q11" s="6">
        <f t="shared" si="6"/>
        <v>12.144809791297083</v>
      </c>
      <c r="R11" s="18">
        <v>9303</v>
      </c>
    </row>
    <row r="12" spans="2:18" ht="15.75">
      <c r="B12">
        <v>4</v>
      </c>
      <c r="C12">
        <v>30</v>
      </c>
      <c r="D12" s="6">
        <f>'Capital Reserve Funding - Level'!G13</f>
        <v>13.005446667425984</v>
      </c>
      <c r="E12" s="2">
        <f t="shared" si="2"/>
        <v>9103.812667198188</v>
      </c>
      <c r="F12" s="1">
        <f>D12+'Capital Reserve Funding - Level'!G54</f>
        <v>13.994228113937003</v>
      </c>
      <c r="G12" s="5">
        <f t="shared" si="3"/>
        <v>9795.959679755902</v>
      </c>
      <c r="H12" s="5">
        <f t="shared" si="0"/>
        <v>692.1470125577143</v>
      </c>
      <c r="I12" s="4">
        <f t="shared" si="1"/>
        <v>0.07602825737524004</v>
      </c>
      <c r="J12" s="10">
        <f t="shared" si="4"/>
        <v>-0.0030411302950098112</v>
      </c>
      <c r="N12">
        <v>2030</v>
      </c>
      <c r="O12" s="6">
        <f t="shared" si="5"/>
        <v>13.561488719861954</v>
      </c>
      <c r="P12" s="1">
        <f t="shared" si="7"/>
        <v>13.71</v>
      </c>
      <c r="Q12" s="6">
        <f t="shared" si="6"/>
        <v>12.567763366118378</v>
      </c>
      <c r="R12" s="18">
        <v>9597</v>
      </c>
    </row>
    <row r="13" spans="2:18" ht="15.75">
      <c r="B13">
        <v>5</v>
      </c>
      <c r="C13">
        <v>31</v>
      </c>
      <c r="D13" s="6">
        <f>'Capital Reserve Funding - Level'!H13</f>
        <v>13.45837267076918</v>
      </c>
      <c r="E13" s="2">
        <f t="shared" si="2"/>
        <v>9420.860869538426</v>
      </c>
      <c r="F13" s="1">
        <f>D13+'Capital Reserve Funding - Level'!H54</f>
        <v>14.442234806601041</v>
      </c>
      <c r="G13" s="5">
        <f t="shared" si="3"/>
        <v>10109.564364620728</v>
      </c>
      <c r="H13" s="5">
        <f t="shared" si="0"/>
        <v>688.7034950823017</v>
      </c>
      <c r="I13" s="4">
        <f t="shared" si="1"/>
        <v>0.07310409363003836</v>
      </c>
      <c r="J13" s="10">
        <f t="shared" si="4"/>
        <v>-0.0029241637452016717</v>
      </c>
      <c r="N13">
        <v>2031</v>
      </c>
      <c r="O13" s="6">
        <f t="shared" si="5"/>
        <v>13.994228113937003</v>
      </c>
      <c r="P13" s="1">
        <f t="shared" si="7"/>
        <v>14.14</v>
      </c>
      <c r="Q13" s="6">
        <f t="shared" si="6"/>
        <v>13.005446667425984</v>
      </c>
      <c r="R13" s="18">
        <v>9898</v>
      </c>
    </row>
    <row r="14" spans="2:18" ht="15.75">
      <c r="B14">
        <v>6</v>
      </c>
      <c r="C14">
        <v>32</v>
      </c>
      <c r="D14" s="6">
        <f>'Capital Reserve Funding - Level'!I13</f>
        <v>13.927072216517361</v>
      </c>
      <c r="E14" s="2">
        <f t="shared" si="2"/>
        <v>9748.950551562153</v>
      </c>
      <c r="F14" s="1">
        <f>D14+'Capital Reserve Funding - Level'!I54</f>
        <v>14.906039515852546</v>
      </c>
      <c r="G14" s="5">
        <f t="shared" si="3"/>
        <v>10434.227661096782</v>
      </c>
      <c r="H14" s="5">
        <f t="shared" si="0"/>
        <v>685.2771095346288</v>
      </c>
      <c r="I14" s="4">
        <f t="shared" si="1"/>
        <v>0.07029239772119075</v>
      </c>
      <c r="J14" s="10">
        <f t="shared" si="4"/>
        <v>-0.0028116959088476112</v>
      </c>
      <c r="N14">
        <v>2032</v>
      </c>
      <c r="O14" s="6">
        <f t="shared" si="5"/>
        <v>14.442234806601041</v>
      </c>
      <c r="P14" s="1">
        <f t="shared" si="7"/>
        <v>14.583567558</v>
      </c>
      <c r="Q14" s="6">
        <f t="shared" si="6"/>
        <v>13.45837267076918</v>
      </c>
      <c r="R14" s="18">
        <f>R13*(1+0.0313697)</f>
        <v>10208.4972906</v>
      </c>
    </row>
    <row r="15" spans="2:18" ht="15.75">
      <c r="B15">
        <v>7</v>
      </c>
      <c r="C15">
        <v>33</v>
      </c>
      <c r="D15" s="6">
        <f>'Capital Reserve Funding - Level'!J13</f>
        <v>14.41209463201797</v>
      </c>
      <c r="E15" s="2">
        <f t="shared" si="2"/>
        <v>10088.466242412578</v>
      </c>
      <c r="F15" s="1">
        <f>D15+'Capital Reserve Funding - Level'!J54</f>
        <v>15.386191447276861</v>
      </c>
      <c r="G15" s="5">
        <f t="shared" si="3"/>
        <v>10770.334013093803</v>
      </c>
      <c r="H15" s="5">
        <f t="shared" si="0"/>
        <v>681.867770681225</v>
      </c>
      <c r="I15" s="4">
        <f t="shared" si="1"/>
        <v>0.06758884396268364</v>
      </c>
      <c r="J15" s="10">
        <f t="shared" si="4"/>
        <v>-0.0027035537585071157</v>
      </c>
      <c r="N15">
        <v>2033</v>
      </c>
      <c r="O15" s="6">
        <f t="shared" si="5"/>
        <v>14.906039515852546</v>
      </c>
      <c r="P15" s="1">
        <f t="shared" si="7"/>
        <v>15.041049697224192</v>
      </c>
      <c r="Q15" s="6">
        <f t="shared" si="6"/>
        <v>13.927072216517361</v>
      </c>
      <c r="R15" s="18">
        <f aca="true" t="shared" si="8" ref="R15:R18">R14*(1+0.0313697)</f>
        <v>10528.734788056934</v>
      </c>
    </row>
    <row r="16" spans="2:18" ht="15.75">
      <c r="B16">
        <v>8</v>
      </c>
      <c r="C16">
        <v>34</v>
      </c>
      <c r="D16" s="1">
        <f>'Capital Reserve Funding - Level'!K13</f>
        <v>14.914008375421583</v>
      </c>
      <c r="E16" s="2">
        <f t="shared" si="2"/>
        <v>10439.805862795107</v>
      </c>
      <c r="F16" s="1">
        <f>D16+'Capital Reserve Funding - Level'!K54</f>
        <v>15.883258937868241</v>
      </c>
      <c r="G16" s="5">
        <f t="shared" si="3"/>
        <v>11118.28125650777</v>
      </c>
      <c r="H16" s="5">
        <f t="shared" si="0"/>
        <v>678.4753937126625</v>
      </c>
      <c r="I16" s="4">
        <f t="shared" si="1"/>
        <v>0.06498927304104202</v>
      </c>
      <c r="J16" s="10">
        <f t="shared" si="4"/>
        <v>-0.0025995709216416196</v>
      </c>
      <c r="N16">
        <v>2034</v>
      </c>
      <c r="O16" s="6">
        <f t="shared" si="5"/>
        <v>15.386191447276861</v>
      </c>
      <c r="P16" s="1">
        <f t="shared" si="7"/>
        <v>15.512882913911204</v>
      </c>
      <c r="Q16" s="6">
        <f t="shared" si="6"/>
        <v>14.41209463201797</v>
      </c>
      <c r="R16" s="18">
        <f t="shared" si="8"/>
        <v>10859.018039737843</v>
      </c>
    </row>
    <row r="17" spans="2:18" ht="15.75">
      <c r="B17">
        <v>9</v>
      </c>
      <c r="C17">
        <v>35</v>
      </c>
      <c r="D17" s="6">
        <f>'Capital Reserve Funding - Level'!L13</f>
        <v>15.433401701928803</v>
      </c>
      <c r="E17" s="2">
        <f t="shared" si="2"/>
        <v>10803.381191350161</v>
      </c>
      <c r="F17" s="1">
        <f>D17+'Capital Reserve Funding - Level'!L54</f>
        <v>16.397830122273735</v>
      </c>
      <c r="G17" s="5">
        <f t="shared" si="3"/>
        <v>11478.481085591615</v>
      </c>
      <c r="H17" s="5">
        <f t="shared" si="0"/>
        <v>675.0998942414535</v>
      </c>
      <c r="I17" s="4">
        <f t="shared" si="1"/>
        <v>0.062489685616386396</v>
      </c>
      <c r="J17" s="10">
        <f t="shared" si="4"/>
        <v>-0.0024995874246556207</v>
      </c>
      <c r="N17">
        <v>2035</v>
      </c>
      <c r="O17" s="6">
        <f t="shared" si="5"/>
        <v>15.883258937868241</v>
      </c>
      <c r="P17" s="1">
        <f t="shared" si="7"/>
        <v>15.999517397055723</v>
      </c>
      <c r="Q17" s="6">
        <f t="shared" si="6"/>
        <v>14.914008375421583</v>
      </c>
      <c r="R17" s="18">
        <f t="shared" si="8"/>
        <v>11199.662177939006</v>
      </c>
    </row>
    <row r="18" spans="2:18" ht="15.75">
      <c r="B18">
        <v>10</v>
      </c>
      <c r="C18">
        <v>36</v>
      </c>
      <c r="D18" s="6">
        <f>'Capital Reserve Funding - Level'!M13</f>
        <v>15.970883353239758</v>
      </c>
      <c r="E18" s="2">
        <f>$B$3*D18/1000</f>
        <v>11179.618347267831</v>
      </c>
      <c r="F18" s="1">
        <f>D18+'Capital Reserve Funding - Level'!M54</f>
        <v>16.93051362223969</v>
      </c>
      <c r="G18" s="5">
        <f t="shared" si="3"/>
        <v>11851.359535567783</v>
      </c>
      <c r="H18" s="5">
        <f t="shared" si="0"/>
        <v>671.7411882999513</v>
      </c>
      <c r="I18" s="4">
        <f t="shared" si="1"/>
        <v>0.06008623616960208</v>
      </c>
      <c r="J18" s="10">
        <f t="shared" si="4"/>
        <v>-0.00240344944678432</v>
      </c>
      <c r="N18">
        <v>2036</v>
      </c>
      <c r="O18" s="6">
        <f t="shared" si="5"/>
        <v>16.397830122273735</v>
      </c>
      <c r="P18" s="1">
        <f t="shared" si="7"/>
        <v>16.50141745794614</v>
      </c>
      <c r="Q18" s="6">
        <f t="shared" si="6"/>
        <v>15.433401701928803</v>
      </c>
      <c r="R18" s="18">
        <f t="shared" si="8"/>
        <v>11550.992220562299</v>
      </c>
    </row>
    <row r="19" spans="7:18" ht="15.75">
      <c r="G19" s="5"/>
      <c r="O19" s="6"/>
      <c r="P19" s="1"/>
      <c r="Q19" s="6"/>
      <c r="R19" s="18"/>
    </row>
    <row r="20" spans="1:18" ht="15.75">
      <c r="A20" t="s">
        <v>45</v>
      </c>
      <c r="O20" s="6"/>
      <c r="P20" s="1"/>
      <c r="Q20" s="6"/>
      <c r="R20" s="18"/>
    </row>
    <row r="21" spans="1:18" ht="15.75">
      <c r="A21" t="s">
        <v>69</v>
      </c>
      <c r="O21" s="6"/>
      <c r="P21" s="1"/>
      <c r="Q21" s="6"/>
      <c r="R21" s="18"/>
    </row>
    <row r="22" spans="1:18" ht="15.75">
      <c r="A22" t="s">
        <v>70</v>
      </c>
      <c r="O22" s="6"/>
      <c r="P22" s="1"/>
      <c r="Q22" s="6"/>
      <c r="R22" s="18"/>
    </row>
    <row r="23" spans="1:18" ht="15.75">
      <c r="A23" t="s">
        <v>71</v>
      </c>
      <c r="O23" s="6"/>
      <c r="P23" s="1"/>
      <c r="Q23" s="6"/>
      <c r="R23" s="18"/>
    </row>
    <row r="24" spans="1:18" ht="15.75">
      <c r="A24" t="s">
        <v>73</v>
      </c>
      <c r="O24" s="6"/>
      <c r="P24" s="1"/>
      <c r="Q24" s="6"/>
      <c r="R24" s="18"/>
    </row>
    <row r="25" spans="1:18" ht="15.75">
      <c r="A25" t="s">
        <v>74</v>
      </c>
      <c r="O25" s="6"/>
      <c r="P25" s="1"/>
      <c r="Q25" s="6"/>
      <c r="R25" s="18"/>
    </row>
    <row r="26" spans="1:18" ht="15.75">
      <c r="A26" t="s">
        <v>75</v>
      </c>
      <c r="O26" s="6"/>
      <c r="P26" s="1"/>
      <c r="Q26" s="6"/>
      <c r="R26" s="18"/>
    </row>
    <row r="27" spans="15:18" ht="15.75">
      <c r="O27" s="6"/>
      <c r="P27" s="1"/>
      <c r="Q27" s="6"/>
      <c r="R27" s="18"/>
    </row>
    <row r="28" spans="15:18" ht="15.75">
      <c r="O28" s="6"/>
      <c r="P28" s="1"/>
      <c r="Q28" s="6"/>
      <c r="R28" s="1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Justh</dc:creator>
  <cp:keywords/>
  <dc:description/>
  <cp:lastModifiedBy>Kevin Justh</cp:lastModifiedBy>
  <dcterms:created xsi:type="dcterms:W3CDTF">2024-05-13T18:29:51Z</dcterms:created>
  <dcterms:modified xsi:type="dcterms:W3CDTF">2024-05-19T17:49:08Z</dcterms:modified>
  <cp:category/>
  <cp:version/>
  <cp:contentType/>
  <cp:contentStatus/>
</cp:coreProperties>
</file>